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86153\Desktop\钦州项目资料\监理周报、月报、回复单\周报\"/>
    </mc:Choice>
  </mc:AlternateContent>
  <xr:revisionPtr revIDLastSave="0" documentId="13_ncr:1_{4F0F2866-F58C-46BF-A4BB-21127425DA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施工周报" sheetId="1" r:id="rId1"/>
  </sheets>
  <calcPr calcId="191029"/>
</workbook>
</file>

<file path=xl/calcChain.xml><?xml version="1.0" encoding="utf-8"?>
<calcChain xmlns="http://schemas.openxmlformats.org/spreadsheetml/2006/main">
  <c r="F49" i="1" l="1"/>
  <c r="F48" i="1"/>
  <c r="I65" i="1" l="1"/>
  <c r="I64" i="1"/>
  <c r="I62" i="1"/>
  <c r="I60" i="1"/>
  <c r="F52" i="1"/>
  <c r="F51" i="1"/>
  <c r="F41" i="1"/>
  <c r="F34" i="1"/>
  <c r="H34" i="1" s="1"/>
  <c r="F32" i="1"/>
  <c r="F27" i="1"/>
  <c r="F24" i="1"/>
  <c r="F23" i="1"/>
  <c r="F22" i="1"/>
  <c r="F21" i="1"/>
  <c r="F19" i="1"/>
  <c r="F18" i="1"/>
  <c r="F16" i="1"/>
  <c r="D54" i="1"/>
  <c r="F44" i="1"/>
  <c r="F33" i="1"/>
  <c r="H51" i="1" l="1"/>
  <c r="D25" i="1"/>
  <c r="F47" i="1"/>
  <c r="K18" i="1" l="1"/>
  <c r="J60" i="1" s="1"/>
  <c r="I59" i="1" l="1"/>
  <c r="J59" i="1" s="1"/>
  <c r="H48" i="1" l="1"/>
  <c r="K23" i="1"/>
  <c r="H24" i="1" l="1"/>
  <c r="H23" i="1"/>
  <c r="H21" i="1"/>
  <c r="H42" i="1"/>
  <c r="K21" i="1" l="1"/>
  <c r="H25" i="1" s="1"/>
  <c r="K25" i="1" s="1"/>
  <c r="H22" i="1"/>
  <c r="H46" i="1"/>
  <c r="H44" i="1"/>
  <c r="H47" i="1"/>
  <c r="H49" i="1"/>
  <c r="F43" i="1"/>
  <c r="H43" i="1" s="1"/>
  <c r="J65" i="1"/>
  <c r="I63" i="1"/>
  <c r="J62" i="1"/>
  <c r="I61" i="1"/>
  <c r="C53" i="1"/>
  <c r="H50" i="1"/>
  <c r="H45" i="1"/>
  <c r="H38" i="1"/>
  <c r="H37" i="1"/>
  <c r="H36" i="1"/>
  <c r="H35" i="1"/>
  <c r="H33" i="1"/>
  <c r="H32" i="1"/>
  <c r="H31" i="1"/>
  <c r="H30" i="1"/>
  <c r="H29" i="1"/>
  <c r="H28" i="1"/>
  <c r="H27" i="1"/>
  <c r="H41" i="1" l="1"/>
  <c r="J61" i="1"/>
  <c r="H18" i="1"/>
  <c r="F54" i="1"/>
  <c r="H54" i="1" s="1"/>
  <c r="H16" i="1"/>
  <c r="J63" i="1"/>
  <c r="F53" i="1"/>
  <c r="H53" i="1" s="1"/>
  <c r="J64" i="1" l="1"/>
</calcChain>
</file>

<file path=xl/sharedStrings.xml><?xml version="1.0" encoding="utf-8"?>
<sst xmlns="http://schemas.openxmlformats.org/spreadsheetml/2006/main" count="160" uniqueCount="121">
  <si>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</si>
  <si>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</si>
  <si>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</si>
  <si>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</si>
  <si>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</si>
  <si>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</si>
  <si>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</si>
  <si>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</si>
  <si>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施工单位</t>
  </si>
  <si>
    <t>安徽中建富华能源建设有限公司</t>
  </si>
  <si>
    <t>管理人员</t>
  </si>
  <si>
    <t>施工人员</t>
  </si>
  <si>
    <t>一、本周主要工作汇报：</t>
  </si>
  <si>
    <t>二、质量、安全管控</t>
  </si>
  <si>
    <t>三、下周工作安排：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</si>
  <si>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</si>
  <si>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</si>
  <si>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</si>
  <si>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</si>
  <si>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</si>
  <si>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</si>
  <si>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</si>
  <si>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</si>
  <si>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</si>
  <si>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管桩基础引孔施工</t>
  </si>
  <si>
    <t>根</t>
  </si>
  <si>
    <t>支架基础施工</t>
  </si>
  <si>
    <t>桥架基础施工</t>
  </si>
  <si>
    <t>二、场区机电安装工程</t>
  </si>
  <si>
    <t>3*30支架安装</t>
  </si>
  <si>
    <t>组</t>
  </si>
  <si>
    <t>3*30组件安装</t>
  </si>
  <si>
    <t>3*21组件安装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</si>
  <si>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</si>
  <si>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</si>
  <si>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</si>
  <si>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</si>
  <si>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</si>
  <si>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</si>
  <si>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</si>
  <si>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</si>
  <si>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</si>
  <si>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</si>
  <si>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</si>
  <si>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</si>
  <si>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</si>
  <si>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</si>
  <si>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</si>
  <si>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管桩型号</t>
  </si>
  <si>
    <t>总需求量</t>
  </si>
  <si>
    <t>本周到货量</t>
  </si>
  <si>
    <t>累计到货量</t>
  </si>
  <si>
    <t>累计到货比例</t>
  </si>
  <si>
    <t>PHC-300-AB-70-8管桩</t>
  </si>
  <si>
    <t>PHC-300-AB-70-7管桩</t>
  </si>
  <si>
    <t>PHC-300-AB-70-6管桩</t>
  </si>
  <si>
    <t>支架材料</t>
  </si>
  <si>
    <t>MWp</t>
  </si>
  <si>
    <t>低压3*120电缆</t>
  </si>
  <si>
    <t>逆变器</t>
  </si>
  <si>
    <t>480w组件</t>
  </si>
  <si>
    <t>块</t>
  </si>
  <si>
    <t>485w组件</t>
  </si>
  <si>
    <t>管桩总计到货量</t>
  </si>
  <si>
    <t>组件总计到货量</t>
  </si>
  <si>
    <t>六：主要协调问题：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</si>
  <si>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</si>
  <si>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</si>
  <si>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</si>
  <si>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</si>
  <si>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</si>
  <si>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</si>
  <si>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</si>
  <si>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</si>
  <si>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</si>
  <si>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</si>
  <si>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</si>
  <si>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</si>
  <si>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</si>
  <si>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</si>
  <si>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</si>
  <si>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</si>
  <si>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</si>
  <si>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</si>
  <si>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</si>
  <si>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</si>
  <si>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</si>
  <si>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</si>
  <si>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</si>
  <si>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</si>
  <si>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</si>
  <si>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</si>
  <si>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</si>
  <si>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</si>
  <si>
    <t>七、本周施工计划表</t>
    <phoneticPr fontId="8" type="noConversion"/>
  </si>
  <si>
    <t>500*200桥架</t>
    <phoneticPr fontId="9" type="noConversion"/>
  </si>
  <si>
    <t>200*200桥架</t>
    <phoneticPr fontId="9" type="noConversion"/>
  </si>
  <si>
    <t>电缆H1Z272-4-1*4mm²</t>
    <phoneticPr fontId="9" type="noConversion"/>
  </si>
  <si>
    <t>米</t>
    <phoneticPr fontId="9" type="noConversion"/>
  </si>
  <si>
    <r>
      <t>3*21</t>
    </r>
    <r>
      <rPr>
        <sz val="12"/>
        <color rgb="FF000000"/>
        <rFont val="宋体"/>
        <family val="3"/>
        <charset val="134"/>
      </rPr>
      <t>支架安装</t>
    </r>
  </si>
  <si>
    <t>300*200桥架</t>
    <phoneticPr fontId="8" type="noConversion"/>
  </si>
  <si>
    <t xml:space="preserve">
    </t>
    <phoneticPr fontId="8" type="noConversion"/>
  </si>
  <si>
    <t>阴
27-31</t>
    <phoneticPr fontId="8" type="noConversion"/>
  </si>
  <si>
    <t>多云
25-33</t>
    <phoneticPr fontId="8" type="noConversion"/>
  </si>
  <si>
    <t>抱桩</t>
    <phoneticPr fontId="8" type="noConversion"/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</si>
  <si>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  <phoneticPr fontId="8" type="noConversion"/>
  </si>
  <si>
    <t>合计装机容量</t>
    <phoneticPr fontId="9" type="noConversion"/>
  </si>
  <si>
    <t>多云
25-32</t>
    <phoneticPr fontId="8" type="noConversion"/>
  </si>
  <si>
    <t>多云
24-33</t>
    <phoneticPr fontId="8" type="noConversion"/>
  </si>
  <si>
    <t>多云
27-31</t>
    <phoneticPr fontId="8" type="noConversion"/>
  </si>
  <si>
    <t>阵雨
 26-31</t>
    <phoneticPr fontId="8" type="noConversion"/>
  </si>
  <si>
    <t>200*200桥架安装</t>
  </si>
  <si>
    <t>截桩</t>
    <phoneticPr fontId="8" type="noConversion"/>
  </si>
  <si>
    <t>根</t>
    <phoneticPr fontId="8" type="noConversion"/>
  </si>
  <si>
    <t>多云
24-35</t>
    <phoneticPr fontId="8" type="noConversion"/>
  </si>
  <si>
    <t>2021.9.23-2021.9.29</t>
    <phoneticPr fontId="8" type="noConversion"/>
  </si>
  <si>
    <t xml:space="preserve">施工内容：
1、下周计划GPS桩基放点20个；
2、下周计划管桩引孔20根桩基，累计占比100%，打桩完成947根，占比100%；                                                                                                                                                                                      3、桩头打磨防腐560个；                                                                                                                                                                                    4、支架安装70组，组件安装70组，                                                                                                                                                       5、34#、35#、36#、39#、40#方阵鱼塘注水；                                                                                                                                                     6、逆变器安装30台，500*200桥架安装100米，300*200桥架安装600米，200*200桥架安装100米
材料到货情况： 
1、下周计划到货：组件预计进场1.2MWP.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</si>
  <si>
    <t>撤场</t>
    <phoneticPr fontId="8" type="noConversion"/>
  </si>
  <si>
    <t xml:space="preserve"> </t>
    <phoneticPr fontId="8" type="noConversion"/>
  </si>
  <si>
    <r>
      <t>1、本周引孔完成526根，累计完成6143个，占比99.68%；打桩完成355根，桥架桩完成15根，累计完成5216根，占比84.63%；
2、本周支架安装完成30组，累计完成366组；组件共安装完成60组，累计完成321组，累计安装容量13.16MW，累计完成占比36.39%；
    （1）3*30支架安装完成26组，累计完成260组，占比37.96%；组件安装完成54组，累计完成256组，累计完成11.17MW,占比37.37%；
    （2 ）3*21支架安装完成4组，累计完成106组，占比50.24%；组件安装完成6组，共计完成65组，累计完成1.99MW,占比30.81%。
3、34、35#、36#、39#、40#方阵鱼塘注水作业，
4、逆变器安装11台,累计完成35台，
5、34、35#、36#、39#、40#桩头除锈完成667根。
6、本周截桩93根，累计完成253根。
7、支架材料进场0MWp，累计进场33.39MWp，组件进场13.34MWp,累计34.92MWp</t>
    </r>
    <r>
      <rPr>
        <sz val="12"/>
        <rFont val="宋体"/>
        <family val="3"/>
        <charset val="134"/>
      </rPr>
      <t xml:space="preserve"> ，300*200桥架310米，200*200桥架36米。                                                                                        8、   1)500*200桥架安装102米，累计安装102米，占比13.25%， 
      2)300*200桥架安装288米，累计安装540米，占比18.31%，</t>
    </r>
    <r>
      <rPr>
        <sz val="12"/>
        <color theme="1"/>
        <rFont val="宋体"/>
        <family val="3"/>
        <charset val="134"/>
      </rPr>
      <t xml:space="preserve">
      3)200*200桥架安装104米，累计安装164米，占比23.91%，.    </t>
    </r>
    <r>
      <rPr>
        <sz val="12"/>
        <color rgb="FFFF0000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8" type="noConversion"/>
  </si>
  <si>
    <t>施工周报第十八期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</si>
</sst>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2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22860</xdr:rowOff>
    </xdr:from>
    <xdr:to>
      <xdr:col>2</xdr:col>
      <xdr:colOff>299720</xdr:colOff>
      <xdr:row>77</xdr:row>
      <xdr:rowOff>7620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E6BBAC33-DF4A-42FA-B41E-071AC505C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516320"/>
          <a:ext cx="2235200" cy="1676400"/>
        </a:xfrm>
        <a:prstGeom prst="rect">
          <a:avLst/>
        </a:prstGeom>
      </xdr:spPr>
    </xdr:pic>
    <xdr:clientData/>
  </xdr:twoCellAnchor>
  <xdr:twoCellAnchor editAs="oneCell">
    <xdr:from>
      <xdr:col>2</xdr:col>
      <xdr:colOff>320040</xdr:colOff>
      <xdr:row>76</xdr:row>
      <xdr:rowOff>22860</xdr:rowOff>
    </xdr:from>
    <xdr:to>
      <xdr:col>6</xdr:col>
      <xdr:colOff>469900</xdr:colOff>
      <xdr:row>77</xdr:row>
      <xdr:rowOff>15240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DCED2D6-A6EE-4881-A9A2-50ADB5876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520" y="31516320"/>
          <a:ext cx="2245360" cy="1684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topLeftCell="A66" zoomScaleNormal="100" workbookViewId="0">
      <selection activeCell="A77" sqref="A77:K77"/>
    </sheetView>
  </sheetViews>
  <sheetFormatPr defaultColWidth="9" defaultRowHeight="13.8" x14ac:dyDescent="0.25"/>
  <cols>
    <col min="1" max="1" width="20.33203125" customWidth="1"/>
    <col min="2" max="2" width="7.88671875" customWidth="1"/>
    <col min="3" max="3" width="8.21875" customWidth="1"/>
    <col min="4" max="5" width="7.44140625" style="1" customWidth="1"/>
    <col min="6" max="7" width="7.44140625" style="2" customWidth="1"/>
    <col min="8" max="9" width="7.44140625" style="3" customWidth="1"/>
    <col min="10" max="10" width="8.5546875" style="3" customWidth="1"/>
    <col min="11" max="11" width="11.109375" customWidth="1"/>
    <col min="14" max="14" width="9.5546875" customWidth="1"/>
  </cols>
  <sheetData>
    <row r="1" spans="1:12" ht="32.4" customHeight="1" x14ac:dyDescent="0.25">
      <c r="A1" s="29" t="s">
        <v>120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ht="30" customHeight="1" x14ac:dyDescent="0.25">
      <c r="A2" s="19" t="s">
        <v>0</v>
      </c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</row>
    <row r="3" spans="1:12" ht="30" customHeight="1" x14ac:dyDescent="0.25">
      <c r="A3" s="26" t="s">
        <v>2</v>
      </c>
      <c r="B3" s="30" t="s">
        <v>3</v>
      </c>
      <c r="C3" s="30"/>
      <c r="D3" s="26" t="s">
        <v>4</v>
      </c>
      <c r="E3" s="26"/>
      <c r="F3" s="26"/>
      <c r="G3" s="26"/>
      <c r="H3" s="26"/>
      <c r="I3" s="26"/>
      <c r="J3" s="26"/>
      <c r="K3" s="26" t="s">
        <v>5</v>
      </c>
    </row>
    <row r="4" spans="1:12" ht="30" customHeight="1" x14ac:dyDescent="0.25">
      <c r="A4" s="26"/>
      <c r="B4" s="30"/>
      <c r="C4" s="30"/>
      <c r="D4" s="4">
        <v>9.23</v>
      </c>
      <c r="E4" s="4">
        <v>9.24</v>
      </c>
      <c r="F4" s="4">
        <v>9.25</v>
      </c>
      <c r="G4" s="4">
        <v>9.26</v>
      </c>
      <c r="H4" s="4">
        <v>9.27</v>
      </c>
      <c r="I4" s="4">
        <v>9.2799999999999994</v>
      </c>
      <c r="J4" s="4">
        <v>9.2899999999999991</v>
      </c>
      <c r="K4" s="26"/>
    </row>
    <row r="5" spans="1:12" ht="54" customHeight="1" x14ac:dyDescent="0.25">
      <c r="A5" s="19" t="s">
        <v>6</v>
      </c>
      <c r="B5" s="30" t="s">
        <v>7</v>
      </c>
      <c r="C5" s="30"/>
      <c r="D5" s="20" t="s">
        <v>102</v>
      </c>
      <c r="E5" s="20" t="s">
        <v>107</v>
      </c>
      <c r="F5" s="20" t="s">
        <v>108</v>
      </c>
      <c r="G5" s="20" t="s">
        <v>109</v>
      </c>
      <c r="H5" s="20" t="s">
        <v>103</v>
      </c>
      <c r="I5" s="20" t="s">
        <v>110</v>
      </c>
      <c r="J5" s="20" t="s">
        <v>114</v>
      </c>
      <c r="K5" s="20" t="s">
        <v>115</v>
      </c>
    </row>
    <row r="6" spans="1:12" ht="42.6" customHeight="1" x14ac:dyDescent="0.25">
      <c r="A6" s="19" t="s">
        <v>8</v>
      </c>
      <c r="B6" s="30" t="s">
        <v>9</v>
      </c>
      <c r="C6" s="30"/>
      <c r="D6" s="26" t="s">
        <v>10</v>
      </c>
      <c r="E6" s="26"/>
      <c r="F6" s="27">
        <v>4</v>
      </c>
      <c r="G6" s="27"/>
      <c r="H6" s="30" t="s">
        <v>11</v>
      </c>
      <c r="I6" s="30"/>
      <c r="J6" s="26">
        <v>86</v>
      </c>
      <c r="K6" s="26"/>
    </row>
    <row r="7" spans="1:12" ht="30" customHeight="1" x14ac:dyDescent="0.25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2" ht="273.60000000000002" customHeight="1" x14ac:dyDescent="0.25">
      <c r="A8" s="32" t="s">
        <v>119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24" t="s">
        <v>118</v>
      </c>
    </row>
    <row r="9" spans="1:12" ht="30" customHeight="1" x14ac:dyDescent="0.25">
      <c r="A9" s="31" t="s">
        <v>13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2" ht="109.8" customHeight="1" x14ac:dyDescent="0.25">
      <c r="A10" s="32" t="s">
        <v>105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2" ht="22.2" customHeight="1" x14ac:dyDescent="0.25">
      <c r="A11" s="31" t="s">
        <v>14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2" ht="142.80000000000001" customHeight="1" x14ac:dyDescent="0.25">
      <c r="A12" s="32" t="s">
        <v>116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2" ht="23.4" customHeight="1" x14ac:dyDescent="0.25">
      <c r="A13" s="31" t="s">
        <v>15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2" ht="30" customHeight="1" x14ac:dyDescent="0.25">
      <c r="A14" s="19" t="s">
        <v>16</v>
      </c>
      <c r="B14" s="19" t="s">
        <v>17</v>
      </c>
      <c r="C14" s="19" t="s">
        <v>18</v>
      </c>
      <c r="D14" s="26" t="s">
        <v>19</v>
      </c>
      <c r="E14" s="26"/>
      <c r="F14" s="27" t="s">
        <v>20</v>
      </c>
      <c r="G14" s="27"/>
      <c r="H14" s="26" t="s">
        <v>21</v>
      </c>
      <c r="I14" s="26"/>
      <c r="J14" s="26"/>
      <c r="K14" s="19" t="s">
        <v>22</v>
      </c>
    </row>
    <row r="15" spans="1:12" ht="21.6" customHeight="1" x14ac:dyDescent="0.25">
      <c r="A15" s="33" t="s">
        <v>23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2" ht="25.2" customHeight="1" x14ac:dyDescent="0.25">
      <c r="A16" s="19" t="s">
        <v>24</v>
      </c>
      <c r="B16" s="19" t="s">
        <v>25</v>
      </c>
      <c r="C16" s="19">
        <v>6163</v>
      </c>
      <c r="D16" s="26">
        <v>526</v>
      </c>
      <c r="E16" s="26"/>
      <c r="F16" s="26">
        <f>418+571+85+67+95+102+544+785+412+576+805+659+498+526</f>
        <v>6143</v>
      </c>
      <c r="G16" s="26"/>
      <c r="H16" s="34">
        <f>F16/C16</f>
        <v>0.99675482719454811</v>
      </c>
      <c r="I16" s="34"/>
      <c r="J16" s="34"/>
      <c r="K16" s="21"/>
    </row>
    <row r="17" spans="1:11" ht="25.2" customHeight="1" x14ac:dyDescent="0.25">
      <c r="A17" s="19" t="s">
        <v>112</v>
      </c>
      <c r="B17" s="19" t="s">
        <v>113</v>
      </c>
      <c r="C17" s="19"/>
      <c r="D17" s="26">
        <v>93</v>
      </c>
      <c r="E17" s="26"/>
      <c r="F17" s="26">
        <v>253</v>
      </c>
      <c r="G17" s="26"/>
      <c r="H17" s="34"/>
      <c r="I17" s="34"/>
      <c r="J17" s="34"/>
      <c r="K17" s="21"/>
    </row>
    <row r="18" spans="1:11" ht="25.2" customHeight="1" x14ac:dyDescent="0.25">
      <c r="A18" s="19" t="s">
        <v>26</v>
      </c>
      <c r="B18" s="19" t="s">
        <v>25</v>
      </c>
      <c r="C18" s="19">
        <v>5867</v>
      </c>
      <c r="D18" s="26">
        <v>355</v>
      </c>
      <c r="E18" s="26"/>
      <c r="F18" s="27">
        <f>160+386+429+105+65+309+717+287+573+420+674+105+424+355</f>
        <v>5009</v>
      </c>
      <c r="G18" s="27"/>
      <c r="H18" s="34">
        <f>(F18+F19)/(C18+C19)</f>
        <v>0.84634106766185302</v>
      </c>
      <c r="I18" s="34"/>
      <c r="J18" s="34"/>
      <c r="K18" s="26">
        <f>F18+F19</f>
        <v>5216</v>
      </c>
    </row>
    <row r="19" spans="1:11" ht="25.2" customHeight="1" x14ac:dyDescent="0.25">
      <c r="A19" s="19" t="s">
        <v>27</v>
      </c>
      <c r="B19" s="19" t="s">
        <v>25</v>
      </c>
      <c r="C19" s="19">
        <v>296</v>
      </c>
      <c r="D19" s="26">
        <v>15</v>
      </c>
      <c r="E19" s="26"/>
      <c r="F19" s="27">
        <f>29+6+6+22+23+13+46+18+16+13+15</f>
        <v>207</v>
      </c>
      <c r="G19" s="27"/>
      <c r="H19" s="34"/>
      <c r="I19" s="34"/>
      <c r="J19" s="34"/>
      <c r="K19" s="26"/>
    </row>
    <row r="20" spans="1:11" ht="30" customHeight="1" x14ac:dyDescent="0.25">
      <c r="A20" s="33" t="s">
        <v>28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ht="22.2" customHeight="1" x14ac:dyDescent="0.25">
      <c r="A21" s="19" t="s">
        <v>29</v>
      </c>
      <c r="B21" s="19" t="s">
        <v>30</v>
      </c>
      <c r="C21" s="19">
        <v>685</v>
      </c>
      <c r="D21" s="26">
        <v>26</v>
      </c>
      <c r="E21" s="26"/>
      <c r="F21" s="27">
        <f>22+28+70+49+34+31+26</f>
        <v>260</v>
      </c>
      <c r="G21" s="27"/>
      <c r="H21" s="34">
        <f>F21/C21</f>
        <v>0.37956204379562042</v>
      </c>
      <c r="I21" s="34"/>
      <c r="J21" s="34"/>
      <c r="K21" s="42">
        <f>F22*0.000485*90</f>
        <v>11.1744</v>
      </c>
    </row>
    <row r="22" spans="1:11" ht="22.2" customHeight="1" x14ac:dyDescent="0.25">
      <c r="A22" s="18" t="s">
        <v>31</v>
      </c>
      <c r="B22" s="18" t="s">
        <v>30</v>
      </c>
      <c r="C22" s="18">
        <v>685</v>
      </c>
      <c r="D22" s="26">
        <v>54</v>
      </c>
      <c r="E22" s="26"/>
      <c r="F22" s="27">
        <f>12+20+23+38+59+50+54</f>
        <v>256</v>
      </c>
      <c r="G22" s="27"/>
      <c r="H22" s="34">
        <f t="shared" ref="H22:H24" si="0">F22/C22</f>
        <v>0.37372262773722625</v>
      </c>
      <c r="I22" s="34"/>
      <c r="J22" s="34"/>
      <c r="K22" s="42"/>
    </row>
    <row r="23" spans="1:11" ht="22.2" customHeight="1" x14ac:dyDescent="0.25">
      <c r="A23" s="25" t="s">
        <v>99</v>
      </c>
      <c r="B23" s="18" t="s">
        <v>30</v>
      </c>
      <c r="C23" s="18">
        <v>211</v>
      </c>
      <c r="D23" s="26">
        <v>4</v>
      </c>
      <c r="E23" s="26"/>
      <c r="F23" s="27">
        <f>14+15+9+32+16+16+4</f>
        <v>106</v>
      </c>
      <c r="G23" s="27"/>
      <c r="H23" s="34">
        <f t="shared" si="0"/>
        <v>0.50236966824644547</v>
      </c>
      <c r="I23" s="34"/>
      <c r="J23" s="34"/>
      <c r="K23" s="42">
        <f>F24*0.000485*63</f>
        <v>1.9860750000000003</v>
      </c>
    </row>
    <row r="24" spans="1:11" ht="22.2" customHeight="1" x14ac:dyDescent="0.25">
      <c r="A24" s="18" t="s">
        <v>32</v>
      </c>
      <c r="B24" s="18" t="s">
        <v>30</v>
      </c>
      <c r="C24" s="18">
        <v>211</v>
      </c>
      <c r="D24" s="26">
        <v>6</v>
      </c>
      <c r="E24" s="26"/>
      <c r="F24" s="27">
        <f>9+7+14+14+10+5+6</f>
        <v>65</v>
      </c>
      <c r="G24" s="27"/>
      <c r="H24" s="34">
        <f t="shared" si="0"/>
        <v>0.30805687203791471</v>
      </c>
      <c r="I24" s="34"/>
      <c r="J24" s="34"/>
      <c r="K24" s="42"/>
    </row>
    <row r="25" spans="1:11" ht="22.2" customHeight="1" x14ac:dyDescent="0.25">
      <c r="A25" s="18" t="s">
        <v>106</v>
      </c>
      <c r="B25" s="18"/>
      <c r="C25" s="18"/>
      <c r="D25" s="26">
        <f>F21+F23</f>
        <v>366</v>
      </c>
      <c r="E25" s="26"/>
      <c r="F25" s="27"/>
      <c r="G25" s="27"/>
      <c r="H25" s="28">
        <f>K21+K23</f>
        <v>13.160475</v>
      </c>
      <c r="I25" s="28"/>
      <c r="J25" s="28"/>
      <c r="K25" s="22">
        <f>H25/36.17</f>
        <v>0.36385056676803978</v>
      </c>
    </row>
    <row r="26" spans="1:11" ht="19.2" customHeight="1" x14ac:dyDescent="0.25">
      <c r="A26" s="33" t="s">
        <v>33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ht="24" customHeight="1" x14ac:dyDescent="0.25">
      <c r="A27" s="19" t="s">
        <v>34</v>
      </c>
      <c r="B27" s="19" t="s">
        <v>35</v>
      </c>
      <c r="C27" s="19">
        <v>142</v>
      </c>
      <c r="D27" s="26">
        <v>11</v>
      </c>
      <c r="E27" s="26"/>
      <c r="F27" s="27">
        <f>10+8+6+11</f>
        <v>35</v>
      </c>
      <c r="G27" s="27"/>
      <c r="H27" s="34">
        <f>F27/C27</f>
        <v>0.24647887323943662</v>
      </c>
      <c r="I27" s="34"/>
      <c r="J27" s="34"/>
      <c r="K27" s="9"/>
    </row>
    <row r="28" spans="1:11" ht="24" customHeight="1" x14ac:dyDescent="0.25">
      <c r="A28" s="19" t="s">
        <v>36</v>
      </c>
      <c r="B28" s="19" t="s">
        <v>37</v>
      </c>
      <c r="C28" s="19">
        <v>272151</v>
      </c>
      <c r="D28" s="26">
        <v>0</v>
      </c>
      <c r="E28" s="26"/>
      <c r="F28" s="27">
        <v>0</v>
      </c>
      <c r="G28" s="27"/>
      <c r="H28" s="34">
        <f t="shared" ref="H28:H38" si="1">F28/C28</f>
        <v>0</v>
      </c>
      <c r="I28" s="34"/>
      <c r="J28" s="34"/>
      <c r="K28" s="9"/>
    </row>
    <row r="29" spans="1:11" ht="24" customHeight="1" x14ac:dyDescent="0.25">
      <c r="A29" s="19" t="s">
        <v>38</v>
      </c>
      <c r="B29" s="19" t="s">
        <v>37</v>
      </c>
      <c r="C29" s="19">
        <v>272151</v>
      </c>
      <c r="D29" s="26">
        <v>0</v>
      </c>
      <c r="E29" s="26"/>
      <c r="F29" s="27">
        <v>0</v>
      </c>
      <c r="G29" s="27"/>
      <c r="H29" s="34">
        <f t="shared" si="1"/>
        <v>0</v>
      </c>
      <c r="I29" s="34"/>
      <c r="J29" s="34"/>
      <c r="K29" s="9"/>
    </row>
    <row r="30" spans="1:11" ht="24" customHeight="1" x14ac:dyDescent="0.25">
      <c r="A30" s="19" t="s">
        <v>39</v>
      </c>
      <c r="B30" s="19" t="s">
        <v>37</v>
      </c>
      <c r="C30" s="20">
        <v>19686</v>
      </c>
      <c r="D30" s="26">
        <v>0</v>
      </c>
      <c r="E30" s="26"/>
      <c r="F30" s="27">
        <v>0</v>
      </c>
      <c r="G30" s="27"/>
      <c r="H30" s="34">
        <f t="shared" si="1"/>
        <v>0</v>
      </c>
      <c r="I30" s="34"/>
      <c r="J30" s="34"/>
      <c r="K30" s="9"/>
    </row>
    <row r="31" spans="1:11" ht="24" customHeight="1" x14ac:dyDescent="0.25">
      <c r="A31" s="19" t="s">
        <v>40</v>
      </c>
      <c r="B31" s="19" t="s">
        <v>37</v>
      </c>
      <c r="C31" s="19">
        <v>19686</v>
      </c>
      <c r="D31" s="26">
        <v>0</v>
      </c>
      <c r="E31" s="26"/>
      <c r="F31" s="27">
        <v>0</v>
      </c>
      <c r="G31" s="27"/>
      <c r="H31" s="34">
        <f t="shared" si="1"/>
        <v>0</v>
      </c>
      <c r="I31" s="34"/>
      <c r="J31" s="34"/>
      <c r="K31" s="9"/>
    </row>
    <row r="32" spans="1:11" ht="24" customHeight="1" x14ac:dyDescent="0.25">
      <c r="A32" s="19" t="s">
        <v>41</v>
      </c>
      <c r="B32" s="19" t="s">
        <v>37</v>
      </c>
      <c r="C32" s="19">
        <v>2950</v>
      </c>
      <c r="D32" s="26">
        <v>288</v>
      </c>
      <c r="E32" s="26"/>
      <c r="F32" s="27">
        <f>252+288</f>
        <v>540</v>
      </c>
      <c r="G32" s="27"/>
      <c r="H32" s="34">
        <f t="shared" si="1"/>
        <v>0.18305084745762712</v>
      </c>
      <c r="I32" s="34"/>
      <c r="J32" s="34"/>
      <c r="K32" s="9"/>
    </row>
    <row r="33" spans="1:11" ht="24" customHeight="1" x14ac:dyDescent="0.25">
      <c r="A33" s="19" t="s">
        <v>42</v>
      </c>
      <c r="B33" s="19" t="s">
        <v>37</v>
      </c>
      <c r="C33" s="20">
        <v>770</v>
      </c>
      <c r="D33" s="26">
        <v>102</v>
      </c>
      <c r="E33" s="26"/>
      <c r="F33" s="27">
        <f>102</f>
        <v>102</v>
      </c>
      <c r="G33" s="27"/>
      <c r="H33" s="34">
        <f t="shared" si="1"/>
        <v>0.13246753246753246</v>
      </c>
      <c r="I33" s="34"/>
      <c r="J33" s="34"/>
      <c r="K33" s="9"/>
    </row>
    <row r="34" spans="1:11" ht="24" customHeight="1" x14ac:dyDescent="0.25">
      <c r="A34" s="8" t="s">
        <v>111</v>
      </c>
      <c r="B34" s="19" t="s">
        <v>37</v>
      </c>
      <c r="C34" s="20">
        <v>686</v>
      </c>
      <c r="D34" s="26">
        <v>104</v>
      </c>
      <c r="E34" s="26"/>
      <c r="F34" s="27">
        <f>60+104</f>
        <v>164</v>
      </c>
      <c r="G34" s="27"/>
      <c r="H34" s="34">
        <f t="shared" ref="H34" si="2">F34/C34</f>
        <v>0.239067055393586</v>
      </c>
      <c r="I34" s="34"/>
      <c r="J34" s="34"/>
      <c r="K34" s="9"/>
    </row>
    <row r="35" spans="1:11" ht="24" customHeight="1" x14ac:dyDescent="0.25">
      <c r="A35" s="19" t="s">
        <v>43</v>
      </c>
      <c r="B35" s="19" t="s">
        <v>37</v>
      </c>
      <c r="C35" s="19">
        <v>147</v>
      </c>
      <c r="D35" s="26">
        <v>0</v>
      </c>
      <c r="E35" s="26"/>
      <c r="F35" s="27">
        <v>0</v>
      </c>
      <c r="G35" s="27"/>
      <c r="H35" s="34">
        <f t="shared" si="1"/>
        <v>0</v>
      </c>
      <c r="I35" s="34"/>
      <c r="J35" s="34"/>
      <c r="K35" s="9"/>
    </row>
    <row r="36" spans="1:11" ht="24" customHeight="1" x14ac:dyDescent="0.25">
      <c r="A36" s="19" t="s">
        <v>44</v>
      </c>
      <c r="B36" s="19" t="s">
        <v>37</v>
      </c>
      <c r="C36" s="19">
        <v>226.5</v>
      </c>
      <c r="D36" s="26">
        <v>0</v>
      </c>
      <c r="E36" s="26"/>
      <c r="F36" s="27">
        <v>0</v>
      </c>
      <c r="G36" s="27"/>
      <c r="H36" s="34">
        <f t="shared" si="1"/>
        <v>0</v>
      </c>
      <c r="I36" s="34"/>
      <c r="J36" s="34"/>
      <c r="K36" s="9"/>
    </row>
    <row r="37" spans="1:11" ht="24" customHeight="1" x14ac:dyDescent="0.25">
      <c r="A37" s="19" t="s">
        <v>45</v>
      </c>
      <c r="B37" s="19" t="s">
        <v>37</v>
      </c>
      <c r="C37" s="19">
        <v>3289</v>
      </c>
      <c r="D37" s="26">
        <v>0</v>
      </c>
      <c r="E37" s="26"/>
      <c r="F37" s="27">
        <v>0</v>
      </c>
      <c r="G37" s="27"/>
      <c r="H37" s="34">
        <f t="shared" si="1"/>
        <v>0</v>
      </c>
      <c r="I37" s="34"/>
      <c r="J37" s="34"/>
      <c r="K37" s="9"/>
    </row>
    <row r="38" spans="1:11" ht="24" customHeight="1" x14ac:dyDescent="0.25">
      <c r="A38" s="19" t="s">
        <v>46</v>
      </c>
      <c r="B38" s="19" t="s">
        <v>35</v>
      </c>
      <c r="C38" s="19">
        <v>9</v>
      </c>
      <c r="D38" s="26">
        <v>0</v>
      </c>
      <c r="E38" s="26"/>
      <c r="F38" s="27">
        <v>0</v>
      </c>
      <c r="G38" s="27"/>
      <c r="H38" s="34">
        <f t="shared" si="1"/>
        <v>0</v>
      </c>
      <c r="I38" s="34"/>
      <c r="J38" s="34"/>
      <c r="K38" s="9"/>
    </row>
    <row r="39" spans="1:11" ht="24" customHeight="1" x14ac:dyDescent="0.25">
      <c r="A39" s="31" t="s">
        <v>47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ht="20.399999999999999" customHeight="1" x14ac:dyDescent="0.25">
      <c r="A40" s="19" t="s">
        <v>48</v>
      </c>
      <c r="B40" s="21" t="s">
        <v>17</v>
      </c>
      <c r="C40" s="21" t="s">
        <v>49</v>
      </c>
      <c r="D40" s="26" t="s">
        <v>50</v>
      </c>
      <c r="E40" s="26"/>
      <c r="F40" s="26" t="s">
        <v>51</v>
      </c>
      <c r="G40" s="26"/>
      <c r="H40" s="26" t="s">
        <v>52</v>
      </c>
      <c r="I40" s="26"/>
      <c r="J40" s="26"/>
      <c r="K40" s="21" t="s">
        <v>22</v>
      </c>
    </row>
    <row r="41" spans="1:11" ht="22.2" customHeight="1" x14ac:dyDescent="0.25">
      <c r="A41" s="19" t="s">
        <v>53</v>
      </c>
      <c r="B41" s="19" t="s">
        <v>25</v>
      </c>
      <c r="C41" s="19">
        <v>5787</v>
      </c>
      <c r="D41" s="26">
        <v>160</v>
      </c>
      <c r="E41" s="26"/>
      <c r="F41" s="27">
        <f>1586+844+165+1720+355+590+337+160</f>
        <v>5757</v>
      </c>
      <c r="G41" s="27"/>
      <c r="H41" s="34">
        <f>F41/C41</f>
        <v>0.99481596682218765</v>
      </c>
      <c r="I41" s="34"/>
      <c r="J41" s="34"/>
      <c r="K41" s="9"/>
    </row>
    <row r="42" spans="1:11" ht="22.2" customHeight="1" x14ac:dyDescent="0.25">
      <c r="A42" s="19" t="s">
        <v>54</v>
      </c>
      <c r="B42" s="19" t="s">
        <v>25</v>
      </c>
      <c r="C42" s="19">
        <v>80</v>
      </c>
      <c r="D42" s="26">
        <v>0</v>
      </c>
      <c r="E42" s="26"/>
      <c r="F42" s="27">
        <v>80</v>
      </c>
      <c r="G42" s="27"/>
      <c r="H42" s="34">
        <f>F42/C42</f>
        <v>1</v>
      </c>
      <c r="I42" s="34"/>
      <c r="J42" s="34"/>
      <c r="K42" s="9"/>
    </row>
    <row r="43" spans="1:11" ht="22.2" customHeight="1" x14ac:dyDescent="0.25">
      <c r="A43" s="19" t="s">
        <v>55</v>
      </c>
      <c r="B43" s="19" t="s">
        <v>25</v>
      </c>
      <c r="C43" s="19">
        <v>296</v>
      </c>
      <c r="D43" s="26">
        <v>0</v>
      </c>
      <c r="E43" s="26"/>
      <c r="F43" s="27">
        <f>46+150+88+10+2</f>
        <v>296</v>
      </c>
      <c r="G43" s="27"/>
      <c r="H43" s="34">
        <f>F43/C43</f>
        <v>1</v>
      </c>
      <c r="I43" s="34"/>
      <c r="J43" s="34"/>
      <c r="K43" s="9"/>
    </row>
    <row r="44" spans="1:11" ht="22.2" customHeight="1" x14ac:dyDescent="0.25">
      <c r="A44" s="6" t="s">
        <v>56</v>
      </c>
      <c r="B44" s="6" t="s">
        <v>57</v>
      </c>
      <c r="C44" s="5">
        <v>36.772964999999999</v>
      </c>
      <c r="D44" s="26">
        <v>0</v>
      </c>
      <c r="E44" s="26"/>
      <c r="F44" s="41">
        <f>20.04+10.83+2.52</f>
        <v>33.39</v>
      </c>
      <c r="G44" s="41"/>
      <c r="H44" s="35">
        <f t="shared" ref="H44:H54" si="3">F44/C44</f>
        <v>0.90800401871320413</v>
      </c>
      <c r="I44" s="35"/>
      <c r="J44" s="35"/>
      <c r="K44" s="9"/>
    </row>
    <row r="45" spans="1:11" ht="22.2" customHeight="1" x14ac:dyDescent="0.25">
      <c r="A45" s="6" t="s">
        <v>58</v>
      </c>
      <c r="B45" s="7" t="s">
        <v>37</v>
      </c>
      <c r="C45" s="6">
        <v>19686</v>
      </c>
      <c r="D45" s="26">
        <v>0</v>
      </c>
      <c r="E45" s="26"/>
      <c r="F45" s="38">
        <v>19686</v>
      </c>
      <c r="G45" s="38"/>
      <c r="H45" s="35">
        <f t="shared" si="3"/>
        <v>1</v>
      </c>
      <c r="I45" s="35"/>
      <c r="J45" s="35"/>
      <c r="K45" s="9"/>
    </row>
    <row r="46" spans="1:11" ht="22.2" customHeight="1" x14ac:dyDescent="0.25">
      <c r="A46" s="8" t="s">
        <v>97</v>
      </c>
      <c r="B46" s="7" t="s">
        <v>98</v>
      </c>
      <c r="C46" s="18">
        <v>272151</v>
      </c>
      <c r="D46" s="26">
        <v>0</v>
      </c>
      <c r="E46" s="26"/>
      <c r="F46" s="38">
        <v>272152</v>
      </c>
      <c r="G46" s="38"/>
      <c r="H46" s="35">
        <f t="shared" ref="H46" si="4">F46/C46</f>
        <v>1.0000036744307388</v>
      </c>
      <c r="I46" s="35"/>
      <c r="J46" s="35"/>
      <c r="K46" s="9"/>
    </row>
    <row r="47" spans="1:11" ht="22.2" customHeight="1" x14ac:dyDescent="0.25">
      <c r="A47" s="8" t="s">
        <v>95</v>
      </c>
      <c r="B47" s="8" t="s">
        <v>37</v>
      </c>
      <c r="C47" s="17">
        <v>770</v>
      </c>
      <c r="D47" s="36">
        <v>0</v>
      </c>
      <c r="E47" s="36"/>
      <c r="F47" s="37">
        <f>2+768</f>
        <v>770</v>
      </c>
      <c r="G47" s="37"/>
      <c r="H47" s="35">
        <f t="shared" ref="H47:H49" si="5">F47/C47</f>
        <v>1</v>
      </c>
      <c r="I47" s="35"/>
      <c r="J47" s="35"/>
      <c r="K47" s="9"/>
    </row>
    <row r="48" spans="1:11" ht="22.2" customHeight="1" x14ac:dyDescent="0.25">
      <c r="A48" s="8" t="s">
        <v>100</v>
      </c>
      <c r="B48" s="8" t="s">
        <v>37</v>
      </c>
      <c r="C48" s="8">
        <v>2950</v>
      </c>
      <c r="D48" s="36">
        <v>310</v>
      </c>
      <c r="E48" s="36"/>
      <c r="F48" s="37">
        <f>1764+876+310</f>
        <v>2950</v>
      </c>
      <c r="G48" s="37"/>
      <c r="H48" s="35">
        <f t="shared" ref="H48" si="6">F48/C48</f>
        <v>1</v>
      </c>
      <c r="I48" s="35"/>
      <c r="J48" s="35"/>
      <c r="K48" s="9"/>
    </row>
    <row r="49" spans="1:11" ht="22.2" customHeight="1" x14ac:dyDescent="0.25">
      <c r="A49" s="8" t="s">
        <v>96</v>
      </c>
      <c r="B49" s="8" t="s">
        <v>37</v>
      </c>
      <c r="C49" s="17">
        <v>686</v>
      </c>
      <c r="D49" s="36">
        <v>36</v>
      </c>
      <c r="E49" s="36"/>
      <c r="F49" s="37">
        <f>2+648+36</f>
        <v>686</v>
      </c>
      <c r="G49" s="37"/>
      <c r="H49" s="35">
        <f t="shared" si="5"/>
        <v>1</v>
      </c>
      <c r="I49" s="35"/>
      <c r="J49" s="35"/>
      <c r="K49" s="9"/>
    </row>
    <row r="50" spans="1:11" ht="22.2" customHeight="1" x14ac:dyDescent="0.25">
      <c r="A50" s="6" t="s">
        <v>59</v>
      </c>
      <c r="B50" s="6" t="s">
        <v>35</v>
      </c>
      <c r="C50" s="6">
        <v>142</v>
      </c>
      <c r="D50" s="26">
        <v>0</v>
      </c>
      <c r="E50" s="26"/>
      <c r="F50" s="38">
        <v>142</v>
      </c>
      <c r="G50" s="38"/>
      <c r="H50" s="35">
        <f t="shared" si="3"/>
        <v>1</v>
      </c>
      <c r="I50" s="35"/>
      <c r="J50" s="35"/>
      <c r="K50" s="9"/>
    </row>
    <row r="51" spans="1:11" ht="22.2" customHeight="1" x14ac:dyDescent="0.25">
      <c r="A51" s="7" t="s">
        <v>60</v>
      </c>
      <c r="B51" s="7" t="s">
        <v>61</v>
      </c>
      <c r="C51" s="36">
        <v>74943</v>
      </c>
      <c r="D51" s="26">
        <v>24791</v>
      </c>
      <c r="E51" s="26"/>
      <c r="F51" s="38">
        <f>8928+1550+10478+24791</f>
        <v>45747</v>
      </c>
      <c r="G51" s="38"/>
      <c r="H51" s="35">
        <f>(F51+F52)/C51</f>
        <v>0.9669882443990766</v>
      </c>
      <c r="I51" s="35"/>
      <c r="J51" s="35"/>
      <c r="K51" s="9"/>
    </row>
    <row r="52" spans="1:11" ht="22.2" customHeight="1" x14ac:dyDescent="0.25">
      <c r="A52" s="7" t="s">
        <v>62</v>
      </c>
      <c r="B52" s="7" t="s">
        <v>61</v>
      </c>
      <c r="C52" s="36"/>
      <c r="D52" s="26">
        <v>2976</v>
      </c>
      <c r="E52" s="26"/>
      <c r="F52" s="39">
        <f>9920+7936+1426+4464+2976</f>
        <v>26722</v>
      </c>
      <c r="G52" s="39"/>
      <c r="H52" s="35"/>
      <c r="I52" s="35"/>
      <c r="J52" s="35"/>
      <c r="K52" s="9"/>
    </row>
    <row r="53" spans="1:11" ht="22.2" customHeight="1" x14ac:dyDescent="0.25">
      <c r="A53" s="19" t="s">
        <v>63</v>
      </c>
      <c r="B53" s="19" t="s">
        <v>25</v>
      </c>
      <c r="C53" s="19">
        <f>SUM(C41:C43)</f>
        <v>6163</v>
      </c>
      <c r="D53" s="26"/>
      <c r="E53" s="26"/>
      <c r="F53" s="27">
        <f>SUM(F41:G43)</f>
        <v>6133</v>
      </c>
      <c r="G53" s="27"/>
      <c r="H53" s="40">
        <f t="shared" si="3"/>
        <v>0.99513224079182216</v>
      </c>
      <c r="I53" s="40"/>
      <c r="J53" s="40"/>
      <c r="K53" s="10"/>
    </row>
    <row r="54" spans="1:11" ht="22.2" customHeight="1" x14ac:dyDescent="0.25">
      <c r="A54" s="19" t="s">
        <v>64</v>
      </c>
      <c r="B54" s="19" t="s">
        <v>57</v>
      </c>
      <c r="C54" s="23">
        <v>36.17</v>
      </c>
      <c r="D54" s="42">
        <f>D51*0.00048+D52*0.000485</f>
        <v>13.34304</v>
      </c>
      <c r="E54" s="42"/>
      <c r="F54" s="42">
        <f>F51*0.00048+F52*0.000485</f>
        <v>34.918730000000004</v>
      </c>
      <c r="G54" s="42"/>
      <c r="H54" s="40">
        <f t="shared" si="3"/>
        <v>0.9654058612109484</v>
      </c>
      <c r="I54" s="40"/>
      <c r="J54" s="40"/>
      <c r="K54" s="10"/>
    </row>
    <row r="55" spans="1:11" ht="21" customHeight="1" x14ac:dyDescent="0.25">
      <c r="A55" s="31" t="s">
        <v>65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ht="17.399999999999999" customHeight="1" x14ac:dyDescent="0.25">
      <c r="A56" s="43" t="s">
        <v>101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1:11" ht="24" customHeight="1" x14ac:dyDescent="0.25">
      <c r="A57" s="31" t="s">
        <v>94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</row>
    <row r="58" spans="1:11" ht="35.4" customHeight="1" x14ac:dyDescent="0.25">
      <c r="A58" s="20" t="s">
        <v>66</v>
      </c>
      <c r="B58" s="20" t="s">
        <v>67</v>
      </c>
      <c r="C58" s="20" t="s">
        <v>68</v>
      </c>
      <c r="D58" s="20" t="s">
        <v>69</v>
      </c>
      <c r="E58" s="20" t="s">
        <v>70</v>
      </c>
      <c r="F58" s="20" t="s">
        <v>71</v>
      </c>
      <c r="G58" s="20" t="s">
        <v>72</v>
      </c>
      <c r="H58" s="20" t="s">
        <v>73</v>
      </c>
      <c r="I58" s="20" t="s">
        <v>74</v>
      </c>
      <c r="J58" s="20" t="s">
        <v>75</v>
      </c>
      <c r="K58" s="20" t="s">
        <v>22</v>
      </c>
    </row>
    <row r="59" spans="1:11" ht="30" customHeight="1" x14ac:dyDescent="0.25">
      <c r="A59" s="20" t="s">
        <v>24</v>
      </c>
      <c r="B59" s="20" t="s">
        <v>104</v>
      </c>
      <c r="C59" s="20" t="s">
        <v>104</v>
      </c>
      <c r="D59" s="20" t="s">
        <v>104</v>
      </c>
      <c r="E59" s="20" t="s">
        <v>104</v>
      </c>
      <c r="F59" s="20">
        <v>20</v>
      </c>
      <c r="G59" s="20" t="s">
        <v>104</v>
      </c>
      <c r="H59" s="20" t="s">
        <v>117</v>
      </c>
      <c r="I59" s="20">
        <f>SUM(B59:H59)</f>
        <v>20</v>
      </c>
      <c r="J59" s="11">
        <f>(F16+I59)/6163</f>
        <v>1</v>
      </c>
      <c r="K59" s="20"/>
    </row>
    <row r="60" spans="1:11" ht="30" customHeight="1" x14ac:dyDescent="0.25">
      <c r="A60" s="20" t="s">
        <v>76</v>
      </c>
      <c r="B60" s="20">
        <v>120</v>
      </c>
      <c r="C60" s="20">
        <v>127</v>
      </c>
      <c r="D60" s="20">
        <v>140</v>
      </c>
      <c r="E60" s="20">
        <v>140</v>
      </c>
      <c r="F60" s="20">
        <v>140</v>
      </c>
      <c r="G60" s="20">
        <v>140</v>
      </c>
      <c r="H60" s="20">
        <v>140</v>
      </c>
      <c r="I60" s="20">
        <f>SUM(B60:H60)</f>
        <v>947</v>
      </c>
      <c r="J60" s="12">
        <f>(K18+I60)/C16</f>
        <v>1</v>
      </c>
      <c r="K60" s="20"/>
    </row>
    <row r="61" spans="1:11" ht="30" customHeight="1" x14ac:dyDescent="0.25">
      <c r="A61" s="20" t="s">
        <v>77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f>SUM(B61:H61)</f>
        <v>0</v>
      </c>
      <c r="J61" s="12">
        <f>(F41+I61)/C41</f>
        <v>0.99481596682218765</v>
      </c>
      <c r="K61" s="20"/>
    </row>
    <row r="62" spans="1:11" ht="30" customHeight="1" x14ac:dyDescent="0.25">
      <c r="A62" s="20" t="s">
        <v>78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f>SUM(B62:H62)</f>
        <v>0</v>
      </c>
      <c r="J62" s="12">
        <f>(I62+F21+F22)/908</f>
        <v>0.56828193832599116</v>
      </c>
      <c r="K62" s="20"/>
    </row>
    <row r="63" spans="1:11" ht="30" customHeight="1" x14ac:dyDescent="0.25">
      <c r="A63" s="20" t="s">
        <v>79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f t="shared" ref="I63" si="7">SUM(B63:H63)</f>
        <v>0</v>
      </c>
      <c r="J63" s="12">
        <f>(I63+F44)/36.772965</f>
        <v>0.90800401871320413</v>
      </c>
      <c r="K63" s="20"/>
    </row>
    <row r="64" spans="1:11" ht="30" customHeight="1" x14ac:dyDescent="0.25">
      <c r="A64" s="20" t="s">
        <v>80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f>SUM(B64:H64)</f>
        <v>0</v>
      </c>
      <c r="J64" s="12">
        <f>(I64+F54)/36.772965</f>
        <v>0.94957613562028531</v>
      </c>
      <c r="K64" s="20"/>
    </row>
    <row r="65" spans="1:11" ht="30" customHeight="1" x14ac:dyDescent="0.25">
      <c r="A65" s="20" t="s">
        <v>81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f>SUM(B65:H65)</f>
        <v>0</v>
      </c>
      <c r="J65" s="12">
        <f>(I65+F23+F24)/908</f>
        <v>0.18832599118942731</v>
      </c>
      <c r="K65" s="20"/>
    </row>
    <row r="66" spans="1:11" ht="21.6" customHeight="1" x14ac:dyDescent="0.25">
      <c r="A66" s="44" t="s">
        <v>82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</row>
    <row r="67" spans="1:11" ht="23.4" customHeight="1" x14ac:dyDescent="0.25">
      <c r="A67" s="43" t="s">
        <v>83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</row>
    <row r="68" spans="1:11" ht="23.4" customHeight="1" x14ac:dyDescent="0.25">
      <c r="A68" s="30" t="s">
        <v>84</v>
      </c>
      <c r="B68" s="30"/>
      <c r="C68" s="30"/>
      <c r="D68" s="30"/>
      <c r="E68" s="30"/>
      <c r="F68" s="30"/>
      <c r="G68" s="30" t="s">
        <v>85</v>
      </c>
      <c r="H68" s="30"/>
      <c r="I68" s="30"/>
      <c r="J68" s="30"/>
      <c r="K68" s="30"/>
    </row>
    <row r="69" spans="1:11" ht="24" customHeight="1" x14ac:dyDescent="0.25">
      <c r="A69" s="30" t="s">
        <v>86</v>
      </c>
      <c r="B69" s="30"/>
      <c r="C69" s="30"/>
      <c r="D69" s="30"/>
      <c r="E69" s="30"/>
      <c r="F69" s="30" t="s">
        <v>87</v>
      </c>
      <c r="G69" s="30"/>
      <c r="H69" s="30" t="s">
        <v>88</v>
      </c>
      <c r="I69" s="30"/>
      <c r="J69" s="30" t="s">
        <v>89</v>
      </c>
      <c r="K69" s="30"/>
    </row>
    <row r="70" spans="1:11" ht="30" customHeight="1" x14ac:dyDescent="0.25">
      <c r="A70" s="30" t="s">
        <v>90</v>
      </c>
      <c r="B70" s="30"/>
      <c r="C70" s="30"/>
      <c r="D70" s="30"/>
      <c r="E70" s="30"/>
      <c r="F70" s="30">
        <v>4</v>
      </c>
      <c r="G70" s="30"/>
      <c r="H70" s="30">
        <v>4</v>
      </c>
      <c r="I70" s="30"/>
      <c r="J70" s="30">
        <v>1</v>
      </c>
      <c r="K70" s="30"/>
    </row>
    <row r="71" spans="1:11" ht="13.2" customHeight="1" x14ac:dyDescent="0.25">
      <c r="A71" s="30"/>
      <c r="B71" s="30"/>
      <c r="C71" s="30"/>
      <c r="D71" s="30"/>
      <c r="E71" s="30"/>
      <c r="F71" s="45"/>
      <c r="G71" s="45"/>
      <c r="H71" s="30"/>
      <c r="I71" s="30"/>
      <c r="J71" s="30"/>
      <c r="K71" s="30"/>
    </row>
    <row r="72" spans="1:11" ht="16.8" customHeight="1" x14ac:dyDescent="0.25">
      <c r="A72" s="43" t="s">
        <v>91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</row>
    <row r="73" spans="1:11" ht="18" customHeight="1" x14ac:dyDescent="0.25">
      <c r="A73" s="30" t="s">
        <v>84</v>
      </c>
      <c r="B73" s="30"/>
      <c r="C73" s="30"/>
      <c r="D73" s="30"/>
      <c r="E73" s="30"/>
      <c r="F73" s="30" t="s">
        <v>85</v>
      </c>
      <c r="G73" s="30"/>
      <c r="H73" s="30"/>
      <c r="I73" s="30"/>
      <c r="J73" s="30"/>
      <c r="K73" s="30"/>
    </row>
    <row r="74" spans="1:11" ht="20.399999999999999" customHeight="1" x14ac:dyDescent="0.25">
      <c r="A74" s="30" t="s">
        <v>86</v>
      </c>
      <c r="B74" s="30"/>
      <c r="C74" s="30"/>
      <c r="D74" s="30"/>
      <c r="E74" s="30"/>
      <c r="F74" s="30" t="s">
        <v>92</v>
      </c>
      <c r="G74" s="30"/>
      <c r="H74" s="30" t="s">
        <v>88</v>
      </c>
      <c r="I74" s="30"/>
      <c r="J74" s="30" t="s">
        <v>89</v>
      </c>
      <c r="K74" s="30"/>
    </row>
    <row r="75" spans="1:11" ht="13.8" customHeight="1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</row>
    <row r="76" spans="1:11" ht="24.6" customHeight="1" x14ac:dyDescent="0.25">
      <c r="A76" s="46" t="s">
        <v>93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</row>
    <row r="77" spans="1:11" ht="133.19999999999999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</row>
    <row r="78" spans="1:11" x14ac:dyDescent="0.25">
      <c r="A78" s="13"/>
      <c r="B78" s="13"/>
      <c r="C78" s="13"/>
      <c r="D78" s="14"/>
      <c r="E78" s="14"/>
      <c r="F78" s="15"/>
      <c r="G78" s="15"/>
      <c r="H78" s="16"/>
      <c r="I78" s="16"/>
      <c r="J78" s="16"/>
      <c r="K78" s="13"/>
    </row>
  </sheetData>
  <mergeCells count="168">
    <mergeCell ref="C51:C52"/>
    <mergeCell ref="H51:J52"/>
    <mergeCell ref="D17:E17"/>
    <mergeCell ref="F17:G17"/>
    <mergeCell ref="H17:J17"/>
    <mergeCell ref="A76:K76"/>
    <mergeCell ref="A77:K77"/>
    <mergeCell ref="A3:A4"/>
    <mergeCell ref="K3:K4"/>
    <mergeCell ref="K21:K22"/>
    <mergeCell ref="K23:K24"/>
    <mergeCell ref="B3:C4"/>
    <mergeCell ref="A72:K72"/>
    <mergeCell ref="A73:E73"/>
    <mergeCell ref="F73:K73"/>
    <mergeCell ref="A74:E74"/>
    <mergeCell ref="F74:G74"/>
    <mergeCell ref="H74:I74"/>
    <mergeCell ref="J74:K74"/>
    <mergeCell ref="A75:E75"/>
    <mergeCell ref="F75:G75"/>
    <mergeCell ref="H75:I75"/>
    <mergeCell ref="J75:K75"/>
    <mergeCell ref="A69:E69"/>
    <mergeCell ref="F69:G69"/>
    <mergeCell ref="H69:I69"/>
    <mergeCell ref="J69:K69"/>
    <mergeCell ref="A70:E70"/>
    <mergeCell ref="F70:G70"/>
    <mergeCell ref="H70:I70"/>
    <mergeCell ref="J70:K70"/>
    <mergeCell ref="A71:E71"/>
    <mergeCell ref="F71:G71"/>
    <mergeCell ref="H71:I71"/>
    <mergeCell ref="J71:K71"/>
    <mergeCell ref="D54:E54"/>
    <mergeCell ref="F54:G54"/>
    <mergeCell ref="H54:J54"/>
    <mergeCell ref="A55:K55"/>
    <mergeCell ref="A56:K56"/>
    <mergeCell ref="A57:K57"/>
    <mergeCell ref="A66:K66"/>
    <mergeCell ref="A67:K67"/>
    <mergeCell ref="A68:F68"/>
    <mergeCell ref="G68:K68"/>
    <mergeCell ref="D51:E51"/>
    <mergeCell ref="F51:G51"/>
    <mergeCell ref="D52:E52"/>
    <mergeCell ref="F52:G52"/>
    <mergeCell ref="D53:E53"/>
    <mergeCell ref="F53:G53"/>
    <mergeCell ref="H53:J53"/>
    <mergeCell ref="D44:E44"/>
    <mergeCell ref="F44:G44"/>
    <mergeCell ref="H44:J44"/>
    <mergeCell ref="D45:E45"/>
    <mergeCell ref="F45:G45"/>
    <mergeCell ref="H45:J45"/>
    <mergeCell ref="D50:E50"/>
    <mergeCell ref="F50:G50"/>
    <mergeCell ref="H50:J50"/>
    <mergeCell ref="D47:E47"/>
    <mergeCell ref="D49:E49"/>
    <mergeCell ref="F47:G47"/>
    <mergeCell ref="F49:G49"/>
    <mergeCell ref="H47:J47"/>
    <mergeCell ref="H49:J49"/>
    <mergeCell ref="D46:E46"/>
    <mergeCell ref="F46:G46"/>
    <mergeCell ref="H46:J46"/>
    <mergeCell ref="D48:E48"/>
    <mergeCell ref="F48:G48"/>
    <mergeCell ref="H48:J48"/>
    <mergeCell ref="D41:E41"/>
    <mergeCell ref="F41:G41"/>
    <mergeCell ref="H41:J41"/>
    <mergeCell ref="D42:E42"/>
    <mergeCell ref="F42:G42"/>
    <mergeCell ref="H42:J42"/>
    <mergeCell ref="D43:E43"/>
    <mergeCell ref="F43:G43"/>
    <mergeCell ref="H43:J43"/>
    <mergeCell ref="D37:E37"/>
    <mergeCell ref="F37:G37"/>
    <mergeCell ref="H37:J37"/>
    <mergeCell ref="D38:E38"/>
    <mergeCell ref="F38:G38"/>
    <mergeCell ref="H38:J38"/>
    <mergeCell ref="A39:K39"/>
    <mergeCell ref="D40:E40"/>
    <mergeCell ref="F40:G40"/>
    <mergeCell ref="H40:J40"/>
    <mergeCell ref="D33:E33"/>
    <mergeCell ref="F33:G33"/>
    <mergeCell ref="H33:J33"/>
    <mergeCell ref="D35:E35"/>
    <mergeCell ref="F35:G35"/>
    <mergeCell ref="H35:J35"/>
    <mergeCell ref="D36:E36"/>
    <mergeCell ref="F36:G36"/>
    <mergeCell ref="H36:J36"/>
    <mergeCell ref="D34:E34"/>
    <mergeCell ref="F34:G34"/>
    <mergeCell ref="H34:J34"/>
    <mergeCell ref="D30:E30"/>
    <mergeCell ref="F30:G30"/>
    <mergeCell ref="H30:J30"/>
    <mergeCell ref="D31:E31"/>
    <mergeCell ref="F31:G31"/>
    <mergeCell ref="H31:J31"/>
    <mergeCell ref="D32:E32"/>
    <mergeCell ref="F32:G32"/>
    <mergeCell ref="H32:J32"/>
    <mergeCell ref="A26:K26"/>
    <mergeCell ref="D27:E27"/>
    <mergeCell ref="F27:G27"/>
    <mergeCell ref="H27:J27"/>
    <mergeCell ref="D28:E28"/>
    <mergeCell ref="F28:G28"/>
    <mergeCell ref="H28:J28"/>
    <mergeCell ref="D29:E29"/>
    <mergeCell ref="F29:G29"/>
    <mergeCell ref="H29:J29"/>
    <mergeCell ref="D21:E21"/>
    <mergeCell ref="F21:G21"/>
    <mergeCell ref="D22:E22"/>
    <mergeCell ref="F22:G22"/>
    <mergeCell ref="D23:E23"/>
    <mergeCell ref="F23:G23"/>
    <mergeCell ref="D24:E24"/>
    <mergeCell ref="F24:G24"/>
    <mergeCell ref="H21:J21"/>
    <mergeCell ref="H22:J22"/>
    <mergeCell ref="H23:J23"/>
    <mergeCell ref="H24:J24"/>
    <mergeCell ref="D16:E16"/>
    <mergeCell ref="F16:G16"/>
    <mergeCell ref="H16:J16"/>
    <mergeCell ref="D18:E18"/>
    <mergeCell ref="F18:G18"/>
    <mergeCell ref="D19:E19"/>
    <mergeCell ref="F19:G19"/>
    <mergeCell ref="H18:J19"/>
    <mergeCell ref="A20:K20"/>
    <mergeCell ref="D25:E25"/>
    <mergeCell ref="F25:G25"/>
    <mergeCell ref="H25:J25"/>
    <mergeCell ref="K18:K19"/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</mergeCells>
  <phoneticPr fontId="8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施工周报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cp:lastPrinted>2021-09-29T17:52:06Z</cp:lastPrinted>
  <dcterms:created xsi:type="dcterms:W3CDTF">2015-06-05T18:19:00Z</dcterms:created>
  <dcterms:modified xsi:type="dcterms:W3CDTF">2021-09-29T17:52:46Z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